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13_ncr:1_{35B2650A-90E3-42DA-924D-5A58CE6A1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<sst xmlns="http://schemas.openxmlformats.org/spreadsheetml/2006/main" count="483" uniqueCount="357">
  <si>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</si>
  <si>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</si>
  <si>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</si>
  <si>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</si>
  <si>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</si>
  <si>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</si>
  <si>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</si>
  <si>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</si>
  <si>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</si>
  <si>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</si>
  <si>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</si>
  <si>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</si>
  <si>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</si>
  <si>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</si>
  <si>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</si>
  <si>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</si>
  <si>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</si>
  <si>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</si>
  <si>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</si>
  <si>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</si>
  <si>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</si>
  <si>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</si>
  <si>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</si>
  <si>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</si>
  <si>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</si>
  <si>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</si>
  <si>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</si>
  <si>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</si>
  <si>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</si>
  <si>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</si>
  <si>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</si>
  <si>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</si>
  <si>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</si>
  <si>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</si>
  <si>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</si>
  <si>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</si>
  <si>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</si>
  <si>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</si>
  <si>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</si>
  <si>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</si>
  <si>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</si>
  <si>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</si>
  <si>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</si>
  <si>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</si>
  <si>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</si>
  <si>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</si>
  <si>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</si>
  <si>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</si>
  <si>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</si>
  <si>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</si>
  <si>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</si>
  <si>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</si>
  <si>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</si>
  <si>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</si>
  <si>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</si>
  <si>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</si>
  <si>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</si>
  <si>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</si>
  <si>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</si>
  <si>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</si>
  <si>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</si>
  <si>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</si>
  <si>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</si>
  <si>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</si>
  <si>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</si>
  <si>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</si>
  <si>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</si>
  <si>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</si>
  <si>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</si>
  <si>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</si>
  <si>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</si>
  <si>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</si>
  <si>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</si>
  <si>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</si>
  <si>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</si>
  <si>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</si>
  <si>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</si>
  <si>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</si>
  <si>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</si>
  <si>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</si>
  <si>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</si>
  <si>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</si>
  <si>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</si>
  <si>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</si>
  <si>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</si>
  <si>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</si>
  <si>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</si>
  <si>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</si>
  <si>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</si>
  <si>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</si>
  <si>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</si>
  <si>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</si>
  <si>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</si>
  <si>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</si>
  <si>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</si>
  <si>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</si>
  <si>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</si>
  <si>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</si>
  <si>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</si>
  <si>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</si>
  <si>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</si>
  <si>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</si>
  <si>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</si>
  <si>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</si>
  <si>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</si>
  <si>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</si>
  <si>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</si>
  <si>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</si>
  <si>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</si>
  <si>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</si>
  <si>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</si>
  <si>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</si>
  <si>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</si>
  <si>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</si>
  <si>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</si>
  <si>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</si>
  <si>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</si>
  <si>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</si>
  <si>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</si>
  <si>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</si>
  <si>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</si>
  <si>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</si>
  <si>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</si>
  <si>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</si>
  <si>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</si>
  <si>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</si>
  <si>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</si>
  <si>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</si>
  <si>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</si>
  <si>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</si>
  <si>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</si>
  <si>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</si>
  <si>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</si>
  <si>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</si>
  <si>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</si>
  <si>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</si>
  <si>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</si>
  <si>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</si>
  <si>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</si>
  <si>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</si>
  <si>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</si>
  <si>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</si>
  <si>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</si>
  <si>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</si>
  <si>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</si>
  <si>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</si>
  <si>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</si>
  <si>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</si>
  <si>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</si>
  <si>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</si>
  <si>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</si>
  <si>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</si>
  <si>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</si>
  <si>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</si>
  <si>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</si>
  <si>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</si>
  <si>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</si>
  <si>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</si>
  <si>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</si>
  <si>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</si>
  <si>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</si>
  <si>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</si>
  <si>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</si>
  <si>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</si>
  <si>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</si>
  <si>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</si>
  <si>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</si>
  <si>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</si>
  <si>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</si>
  <si>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</si>
  <si>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</si>
  <si>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</si>
  <si>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</si>
  <si>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</si>
  <si>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</si>
  <si>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</si>
  <si>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</si>
  <si>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</si>
  <si>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</si>
  <si>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</si>
  <si>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</si>
  <si>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</si>
  <si>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</si>
  <si>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</si>
  <si>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</si>
  <si>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</si>
  <si>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</si>
  <si>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</si>
  <si>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</si>
  <si>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</si>
  <si>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</si>
  <si>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</si>
  <si>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</si>
  <si>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</si>
  <si>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</si>
  <si>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</si>
  <si>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</si>
  <si>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</si>
  <si>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</si>
  <si>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</si>
  <si>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</si>
  <si>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</si>
  <si>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</si>
  <si>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</si>
  <si>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</si>
  <si>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</si>
  <si>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</si>
  <si>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</si>
  <si>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</si>
  <si>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</si>
  <si>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</si>
  <si>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</si>
  <si>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</si>
  <si>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</si>
  <si>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</si>
  <si>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</si>
  <si>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</si>
  <si>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</si>
  <si>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</si>
  <si>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</si>
  <si>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</si>
  <si>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</si>
  <si>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</si>
  <si>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</si>
  <si>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</si>
  <si>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</si>
  <si>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</si>
  <si>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</si>
  <si>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</si>
  <si>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</si>
  <si>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</si>
  <si>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</si>
  <si>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</si>
  <si>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</si>
  <si>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</si>
  <si>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</si>
  <si>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</si>
  <si>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</si>
  <si>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</si>
  <si>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</si>
  <si>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</si>
  <si>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</si>
  <si>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</si>
  <si>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</si>
  <si>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</si>
  <si>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</si>
  <si>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</si>
  <si>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</si>
  <si>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</si>
  <si>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</si>
  <si>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</si>
  <si>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</si>
  <si>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</si>
  <si>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</si>
  <si>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</si>
  <si>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</si>
  <si>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</si>
  <si>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</si>
  <si>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</si>
  <si>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</si>
  <si>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</si>
  <si>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</si>
  <si>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</si>
  <si>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</si>
  <si>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</si>
  <si>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</si>
  <si>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</si>
  <si>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</si>
  <si>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</si>
  <si>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</si>
  <si>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</si>
  <si>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</si>
  <si>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</si>
  <si>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</si>
  <si>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</si>
  <si>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</si>
  <si>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</si>
  <si>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</si>
  <si>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</si>
  <si>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</si>
  <si>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</si>
  <si>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</si>
  <si>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</si>
  <si>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</si>
  <si>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</si>
  <si>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</si>
  <si>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</si>
  <si>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</si>
  <si>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</si>
  <si>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</si>
  <si>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</si>
  <si>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</si>
  <si>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</si>
  <si>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</si>
  <si>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</si>
  <si>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</si>
  <si>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</si>
  <si>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</si>
  <si>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</si>
  <si>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</si>
  <si>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</si>
  <si>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</si>
  <si>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</si>
  <si>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</si>
  <si>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</si>
  <si>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</si>
  <si>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</si>
  <si>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</si>
  <si>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</si>
  <si>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</si>
  <si>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</si>
  <si>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</si>
  <si>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</si>
  <si>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</si>
  <si>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</si>
  <si>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</si>
  <si>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</si>
  <si>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</si>
  <si>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</si>
  <si>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</si>
  <si>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</si>
  <si>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</si>
  <si>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</si>
  <si>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</si>
  <si>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</si>
  <si>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</si>
  <si>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</si>
  <si>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</si>
  <si>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</si>
  <si>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</si>
  <si>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</si>
  <si>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</si>
  <si>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</si>
  <si>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</si>
  <si>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</si>
  <si>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</si>
  <si>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</si>
  <si>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</si>
  <si>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</si>
  <si>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</si>
  <si>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</si>
  <si>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</si>
  <si>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</si>
  <si>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</si>
  <si>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</si>
  <si>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</si>
  <si>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</si>
  <si>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</si>
  <si>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</si>
  <si>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</si>
  <si>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</si>
  <si>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</si>
  <si>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</si>
  <si>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</si>
  <si>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COOPERATIVA LANGUIRU LTDA</t>
  </si>
  <si>
    <t>TEUTONIA</t>
  </si>
  <si>
    <t>Realiza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</si>
</sst>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16" sqref="D16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330751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x14ac:dyDescent="0.2">
      <c r="A13" s="11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6200613</v>
      </c>
      <c r="B15" s="85" t="str">
        <f>IFERROR(VLOOKUP(Tabela1[[#This Row],[Código item]],'CONSULTA DE CÓDIGOS'!A:B,2,0),"-")</f>
        <v>SERVICO DE MONTAGEM DE B190/B125 - 6 VASILHAMES</v>
      </c>
      <c r="C15" s="34">
        <v>1</v>
      </c>
      <c r="D15" s="57"/>
      <c r="F15" s="67">
        <f>IFERROR(VLOOKUP(Tabela1[[#This Row],[Código item]],CONTRATOS!A:C,3,0),"-")</f>
        <v>699.87</v>
      </c>
      <c r="G15" s="67">
        <f>IFERROR(SUM(F15*Tabela1[[#This Row],[Quantidade]]),"-")</f>
        <v>699.87</v>
      </c>
      <c r="H15" s="3"/>
    </row>
    <row r="16" spans="1:14" x14ac:dyDescent="0.2">
      <c r="A16" s="11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6200776</v>
      </c>
      <c r="B17" s="85" t="str">
        <f>IFERROR(VLOOKUP(Tabela1[[#This Row],[Código item]],'CONSULTA DE CÓDIGOS'!A:B,2,0),"-")</f>
        <v>SERVICO TURNKEY MONTAGEM - COMISSIONAMENTO (POS MONTAGEM)</v>
      </c>
      <c r="C17" s="34">
        <v>1</v>
      </c>
      <c r="D17" s="57"/>
      <c r="F17" s="67">
        <f>IFERROR(VLOOKUP(Tabela1[[#This Row],[Código item]],CONTRATOS!A:C,3,0),"-")</f>
        <v>282.79000000000002</v>
      </c>
      <c r="G17" s="67">
        <f>IFERROR(SUM(F17*Tabela1[[#This Row],[Quantidade]]),"-")</f>
        <v>282.79000000000002</v>
      </c>
      <c r="H17" s="3"/>
    </row>
    <row r="18" spans="1:8" x14ac:dyDescent="0.2">
      <c r="A18" s="11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90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99.9</v>
      </c>
      <c r="H18" s="3"/>
    </row>
    <row r="19" spans="1:8" x14ac:dyDescent="0.2">
      <c r="A19" s="11">
        <v>6200787</v>
      </c>
      <c r="B19" s="34" t="str">
        <f>IFERROR(VLOOKUP(Tabela1[[#This Row],[Código item]],'CONSULTA DE CÓDIGOS'!A:B,2,0),"-")</f>
        <v>SERVICO TURNKEY MONTAGEM - HOMEM HORA</v>
      </c>
      <c r="C19" s="34">
        <v>4.5</v>
      </c>
      <c r="D19" s="57"/>
      <c r="F19" s="67">
        <f>IFERROR(VLOOKUP(Tabela1[[#This Row],[Código item]],CONTRATOS!A:C,3,0),"-")</f>
        <v>132.9</v>
      </c>
      <c r="G19" s="67">
        <f>IFERROR(SUM(F19*Tabela1[[#This Row],[Quantidade]]),"-")</f>
        <v>598.05000000000007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2905.07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6859.41</v>
      </c>
      <c r="D2" s="68"/>
      <c r="E2" s="54" t="s">
        <v>22</v>
      </c>
      <c r="F2" s="55">
        <f>Orçamento!G21</f>
        <v>2905.07</v>
      </c>
      <c r="G2" s="56"/>
      <c r="H2" s="30"/>
    </row>
    <row r="3" spans="1:13" x14ac:dyDescent="0.25">
      <c r="A3" s="106" t="s">
        <v>23</v>
      </c>
      <c r="B3" s="106"/>
      <c r="C3" s="68">
        <f>SUM(F2:F4)</f>
        <v>6334</v>
      </c>
      <c r="D3" s="68"/>
      <c r="E3" s="54" t="s">
        <v>24</v>
      </c>
      <c r="F3" s="55">
        <f>D14</f>
        <v>1928.93</v>
      </c>
      <c r="G3" s="56"/>
      <c r="H3" s="29"/>
    </row>
    <row r="4" spans="1:13" x14ac:dyDescent="0.25">
      <c r="A4" s="106" t="s">
        <v>25</v>
      </c>
      <c r="B4" s="106"/>
      <c r="C4" s="68">
        <f>C2-C3</f>
        <v>525.40999999999985</v>
      </c>
      <c r="D4" s="68"/>
      <c r="E4" s="54" t="s">
        <v>26</v>
      </c>
      <c r="F4" s="55">
        <f>D22</f>
        <v>1500</v>
      </c>
      <c r="G4" s="29"/>
      <c r="H4" s="29"/>
    </row>
    <row r="5" spans="1:13" ht="12.6" customHeight="1" x14ac:dyDescent="0.25">
      <c r="A5" s="98" t="str">
        <f>IF(C4&gt;=0,"OK","COMPLEMENTO DE OS")</f>
        <v>OK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 t="s">
        <v>356</v>
      </c>
      <c r="B9" s="51">
        <v>155</v>
      </c>
      <c r="C9" s="39">
        <v>1</v>
      </c>
      <c r="D9" s="16">
        <f t="shared" ref="D9:D13" si="0">B9*C9</f>
        <v>155</v>
      </c>
      <c r="E9" s="40"/>
      <c r="F9" s="40"/>
      <c r="G9" s="40"/>
      <c r="H9" s="19"/>
    </row>
    <row r="10" spans="1:13" x14ac:dyDescent="0.25">
      <c r="A10" s="39" t="s">
        <v>27</v>
      </c>
      <c r="B10" s="51">
        <v>1773.93</v>
      </c>
      <c r="C10" s="39">
        <v>1</v>
      </c>
      <c r="D10" s="16">
        <f t="shared" si="0"/>
        <v>1773.93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1928.93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 t="s">
        <v>26</v>
      </c>
      <c r="B19" s="51">
        <v>1500</v>
      </c>
      <c r="C19" s="40">
        <v>1</v>
      </c>
      <c r="D19" s="16">
        <f t="shared" ref="D19:D21" si="1">B19*C19</f>
        <v>1500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1500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42" sqref="A4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PROJETO - CROQUI"/>
        <filter val="SERVICO TURNKEY TRANSPORTE - QUILOMETRAGEM EXTRA PROJETO/MONTAGEM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2024-08-24T19:12:09Z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